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480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" i="1"/>
  <c r="H4" s="1"/>
  <c r="F5"/>
  <c r="F6"/>
  <c r="H6" s="1"/>
  <c r="F7"/>
  <c r="F3"/>
  <c r="E4"/>
  <c r="E5"/>
  <c r="E6"/>
  <c r="E7"/>
  <c r="E3"/>
  <c r="C4"/>
  <c r="C5"/>
  <c r="C6"/>
  <c r="C7"/>
  <c r="C3"/>
  <c r="R3"/>
  <c r="O4"/>
  <c r="O5"/>
  <c r="O6"/>
  <c r="O7"/>
  <c r="O3"/>
  <c r="K3"/>
  <c r="I10"/>
  <c r="J8"/>
  <c r="J4"/>
  <c r="J5"/>
  <c r="J6"/>
  <c r="J7"/>
  <c r="J3"/>
  <c r="I8"/>
  <c r="I4"/>
  <c r="I5"/>
  <c r="I6"/>
  <c r="I7"/>
  <c r="I3"/>
  <c r="H5"/>
  <c r="H7"/>
  <c r="H3"/>
  <c r="I12" s="1"/>
  <c r="G4"/>
  <c r="G5"/>
  <c r="G6"/>
  <c r="G7"/>
  <c r="G3"/>
  <c r="G16"/>
  <c r="Q38"/>
  <c r="R40"/>
  <c r="R39"/>
  <c r="Q37"/>
  <c r="Q35"/>
  <c r="Q34"/>
  <c r="R22"/>
  <c r="R21"/>
  <c r="R20"/>
  <c r="R19"/>
  <c r="R18"/>
  <c r="Q30"/>
  <c r="Q29"/>
  <c r="Q28"/>
  <c r="O18"/>
  <c r="Q26"/>
  <c r="Q25"/>
  <c r="P23"/>
  <c r="P19"/>
  <c r="P20"/>
  <c r="P21"/>
  <c r="P22"/>
  <c r="P18"/>
  <c r="O23"/>
  <c r="O19"/>
  <c r="O20"/>
  <c r="O21"/>
  <c r="O22"/>
  <c r="N22"/>
  <c r="N21"/>
  <c r="N20"/>
  <c r="N19"/>
  <c r="N18"/>
  <c r="V22"/>
  <c r="V21"/>
  <c r="V20"/>
  <c r="V19"/>
  <c r="V18"/>
  <c r="U22"/>
  <c r="T22"/>
  <c r="T21"/>
  <c r="T20"/>
  <c r="T19"/>
  <c r="T18"/>
  <c r="M19"/>
  <c r="U19" s="1"/>
  <c r="M20"/>
  <c r="Q20" s="1"/>
  <c r="M21"/>
  <c r="Q21" s="1"/>
  <c r="M22"/>
  <c r="Q22" s="1"/>
  <c r="M18"/>
  <c r="W18" s="1"/>
  <c r="F19"/>
  <c r="F18"/>
  <c r="F20" s="1"/>
  <c r="U7"/>
  <c r="U6"/>
  <c r="U5"/>
  <c r="U4"/>
  <c r="U3"/>
  <c r="S7"/>
  <c r="S6"/>
  <c r="S5"/>
  <c r="S4"/>
  <c r="S3"/>
  <c r="Q7"/>
  <c r="Q6"/>
  <c r="Q5"/>
  <c r="Q4"/>
  <c r="Q3"/>
  <c r="M7"/>
  <c r="M6"/>
  <c r="M5"/>
  <c r="M4"/>
  <c r="M3"/>
  <c r="K7"/>
  <c r="K6"/>
  <c r="K5"/>
  <c r="K4"/>
  <c r="V5"/>
  <c r="V7"/>
  <c r="T3"/>
  <c r="T6" l="1"/>
  <c r="T4"/>
  <c r="G13"/>
  <c r="I11"/>
  <c r="I13" s="1"/>
  <c r="H8"/>
  <c r="G12"/>
  <c r="L3"/>
  <c r="L6"/>
  <c r="L4"/>
  <c r="N7"/>
  <c r="N5"/>
  <c r="R6"/>
  <c r="R4"/>
  <c r="T7"/>
  <c r="T5"/>
  <c r="V3"/>
  <c r="V6"/>
  <c r="V4"/>
  <c r="S21"/>
  <c r="W21"/>
  <c r="L7"/>
  <c r="L5"/>
  <c r="N3"/>
  <c r="N6"/>
  <c r="N4"/>
  <c r="R7"/>
  <c r="R5"/>
  <c r="S22"/>
  <c r="U21"/>
  <c r="W22"/>
  <c r="S20"/>
  <c r="U20"/>
  <c r="W20"/>
  <c r="S19"/>
  <c r="W19"/>
  <c r="Q19"/>
  <c r="Q18"/>
  <c r="U18"/>
  <c r="U23" s="1"/>
  <c r="S18"/>
  <c r="T8" l="1"/>
  <c r="U10"/>
  <c r="F16"/>
  <c r="F17" s="1"/>
  <c r="R8"/>
  <c r="W23"/>
  <c r="N8"/>
  <c r="V8"/>
  <c r="F15" s="1"/>
  <c r="L8"/>
  <c r="S23"/>
  <c r="Q23"/>
</calcChain>
</file>

<file path=xl/sharedStrings.xml><?xml version="1.0" encoding="utf-8"?>
<sst xmlns="http://schemas.openxmlformats.org/spreadsheetml/2006/main" count="58" uniqueCount="48">
  <si>
    <t>TH</t>
  </si>
  <si>
    <t>Ct</t>
  </si>
  <si>
    <t>Bt</t>
  </si>
  <si>
    <t>Bt-Ct</t>
  </si>
  <si>
    <t>DF (i=12%)</t>
  </si>
  <si>
    <t>NPV</t>
  </si>
  <si>
    <t>Total (NPV)</t>
  </si>
  <si>
    <t>Bt*DF</t>
  </si>
  <si>
    <t>Ct*DF</t>
  </si>
  <si>
    <t>Gros B/C</t>
  </si>
  <si>
    <t>Net B/C</t>
  </si>
  <si>
    <t>NPV (+)/NPV (-)</t>
  </si>
  <si>
    <t>DF (i=15%)</t>
  </si>
  <si>
    <t>NPV (i=15%)</t>
  </si>
  <si>
    <t>DF (i=20%)</t>
  </si>
  <si>
    <t>npv (I=20%)</t>
  </si>
  <si>
    <t>npv (I=25%)</t>
  </si>
  <si>
    <t>DF (30%)</t>
  </si>
  <si>
    <t>NPV (30%)</t>
  </si>
  <si>
    <t>DF (35%)</t>
  </si>
  <si>
    <t>NPV (35%)</t>
  </si>
  <si>
    <t>IRR (%)</t>
  </si>
  <si>
    <t>Tahun</t>
  </si>
  <si>
    <t>Outflow (Cost), Rp juta</t>
  </si>
  <si>
    <t>Inflow (Benefit), Rp juta</t>
  </si>
  <si>
    <t>Bt-Ct * DF</t>
  </si>
  <si>
    <t>DF (i=25%)</t>
  </si>
  <si>
    <t>DF (i=30%)</t>
  </si>
  <si>
    <t>NPV =</t>
  </si>
  <si>
    <t>Gross B/C</t>
  </si>
  <si>
    <t>Yang +</t>
  </si>
  <si>
    <t>Yang -</t>
  </si>
  <si>
    <t>IRR</t>
  </si>
  <si>
    <t>Bt-Ct * DF (20%)</t>
  </si>
  <si>
    <t>IRR ?</t>
  </si>
  <si>
    <t>i1</t>
  </si>
  <si>
    <t>i2</t>
  </si>
  <si>
    <t>NPV1</t>
  </si>
  <si>
    <t>NPV2</t>
  </si>
  <si>
    <t>PP ?</t>
  </si>
  <si>
    <t>Rata2 Net Bekefit</t>
  </si>
  <si>
    <t>Investasi Kandang + Peralatan</t>
  </si>
  <si>
    <t>df (i=25%)</t>
  </si>
  <si>
    <t>PP (thn)</t>
  </si>
  <si>
    <t>NPV+</t>
  </si>
  <si>
    <t>NPV-</t>
  </si>
  <si>
    <t>Ct1</t>
  </si>
  <si>
    <t>Bt1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</si>
</sst>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 applyFill="1" applyBorder="1" applyAlignment="1">
      <alignment horizontal="justify" vertical="top" wrapText="1"/>
    </xf>
    <xf numFmtId="2" fontId="0" fillId="0" borderId="0" xfId="0" applyNumberFormat="1"/>
    <xf numFmtId="1" fontId="0" fillId="0" borderId="0" xfId="0" applyNumberFormat="1"/>
    <xf numFmtId="0" fontId="0" fillId="0" borderId="5" xfId="0" applyBorder="1"/>
    <xf numFmtId="164" fontId="0" fillId="0" borderId="5" xfId="0" applyNumberFormat="1" applyBorder="1"/>
    <xf numFmtId="2" fontId="1" fillId="0" borderId="0" xfId="0" applyNumberFormat="1" applyFont="1"/>
    <xf numFmtId="0" fontId="0" fillId="0" borderId="6" xfId="0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0"/>
  <sheetViews>
    <sheetView tabSelected="1" zoomScale="202" zoomScaleNormal="202" workbookViewId="0">
      <selection activeCell="A9" sqref="A9"/>
    </sheetView>
  </sheetViews>
  <sheetFormatPr defaultRowHeight="15"/>
  <cols>
    <col min="1" max="1" width="5.5703125" customWidth="1"/>
    <col min="6" max="6" width="13.85546875" bestFit="1" customWidth="1"/>
    <col min="7" max="7" width="12.5703125" customWidth="1"/>
    <col min="8" max="10" width="9.140625" customWidth="1"/>
    <col min="11" max="11" width="12.140625" customWidth="1"/>
    <col min="12" max="12" width="17.140625" customWidth="1"/>
    <col min="13" max="13" width="12.85546875" customWidth="1"/>
    <col min="14" max="14" width="13" style="8" customWidth="1"/>
    <col min="15" max="16" width="13" customWidth="1"/>
    <col min="17" max="18" width="14.7109375" style="8" customWidth="1"/>
    <col min="19" max="19" width="15.7109375" style="8" customWidth="1"/>
    <col min="20" max="20" width="15" style="8" customWidth="1"/>
    <col min="21" max="21" width="17.28515625" style="8" customWidth="1"/>
    <col min="22" max="22" width="13" style="8" customWidth="1"/>
    <col min="23" max="23" width="11.28515625" style="8" bestFit="1" customWidth="1"/>
    <col min="24" max="24" width="9.140625" style="8"/>
  </cols>
  <sheetData>
    <row r="1" spans="1:22">
      <c r="A1" s="13" t="s">
        <v>0</v>
      </c>
      <c r="B1" s="13" t="s">
        <v>1</v>
      </c>
      <c r="C1" s="13" t="s">
        <v>46</v>
      </c>
      <c r="D1" s="13" t="s">
        <v>2</v>
      </c>
      <c r="E1" s="13" t="s">
        <v>47</v>
      </c>
      <c r="F1" s="13" t="s">
        <v>3</v>
      </c>
      <c r="G1" s="13" t="s">
        <v>4</v>
      </c>
      <c r="H1" s="13" t="s">
        <v>5</v>
      </c>
      <c r="I1" s="13" t="s">
        <v>7</v>
      </c>
      <c r="J1" s="13" t="s">
        <v>8</v>
      </c>
      <c r="K1" s="13" t="s">
        <v>12</v>
      </c>
      <c r="L1" s="13" t="s">
        <v>13</v>
      </c>
      <c r="M1" s="13" t="s">
        <v>14</v>
      </c>
      <c r="N1" s="14" t="s">
        <v>15</v>
      </c>
      <c r="O1" s="16" t="s">
        <v>26</v>
      </c>
      <c r="Q1" s="8" t="s">
        <v>42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</row>
    <row r="2" spans="1:22">
      <c r="A2" s="13">
        <v>1</v>
      </c>
      <c r="B2" s="13">
        <v>2</v>
      </c>
      <c r="C2" s="13"/>
      <c r="D2" s="13">
        <v>3</v>
      </c>
      <c r="E2" s="13"/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/>
      <c r="L2" s="13"/>
      <c r="M2" s="13"/>
      <c r="N2" s="14"/>
    </row>
    <row r="3" spans="1:22">
      <c r="A3" s="13">
        <v>1</v>
      </c>
      <c r="B3" s="13">
        <v>500</v>
      </c>
      <c r="C3" s="13">
        <f>B3+0.1*B3</f>
        <v>550</v>
      </c>
      <c r="D3" s="13">
        <v>100</v>
      </c>
      <c r="E3" s="13">
        <f>D3-(D3*0.05)</f>
        <v>95</v>
      </c>
      <c r="F3" s="13">
        <f>E3-C3</f>
        <v>-455</v>
      </c>
      <c r="G3" s="13">
        <f>1/(1+0.12)^A3</f>
        <v>0.89285714285714279</v>
      </c>
      <c r="H3" s="13">
        <f>F3*G3</f>
        <v>-406.24999999999994</v>
      </c>
      <c r="I3" s="13">
        <f>D3*G3</f>
        <v>89.285714285714278</v>
      </c>
      <c r="J3" s="13">
        <f>B2*G3</f>
        <v>1.7857142857142856</v>
      </c>
      <c r="K3" s="13">
        <f>1/1.15^1</f>
        <v>0.86956521739130443</v>
      </c>
      <c r="L3" s="13">
        <f>F3*K3</f>
        <v>-395.6521739130435</v>
      </c>
      <c r="M3" s="13">
        <f>1/1.2^1</f>
        <v>0.83333333333333337</v>
      </c>
      <c r="N3" s="14">
        <f>F3*M3</f>
        <v>-379.16666666666669</v>
      </c>
      <c r="O3" s="17">
        <f>1/1.25^A3</f>
        <v>0.8</v>
      </c>
      <c r="Q3" s="8">
        <f>1/1.25^1</f>
        <v>0.8</v>
      </c>
      <c r="R3" s="8">
        <f>F3*Q3</f>
        <v>-364</v>
      </c>
      <c r="S3" s="8">
        <f>1/1.3^1</f>
        <v>0.76923076923076916</v>
      </c>
      <c r="T3" s="8">
        <f>F3*S3</f>
        <v>-349.99999999999994</v>
      </c>
      <c r="U3" s="8">
        <f>1/1.35^1</f>
        <v>0.7407407407407407</v>
      </c>
      <c r="V3" s="8">
        <f>F3*U3</f>
        <v>-337.03703703703701</v>
      </c>
    </row>
    <row r="4" spans="1:22">
      <c r="A4" s="13">
        <v>2</v>
      </c>
      <c r="B4" s="13">
        <v>200</v>
      </c>
      <c r="C4" s="13">
        <f t="shared" ref="C4:C7" si="0">B4+0.1*B4</f>
        <v>220</v>
      </c>
      <c r="D4" s="13">
        <v>200</v>
      </c>
      <c r="E4" s="13">
        <f t="shared" ref="E4:E7" si="1">D4-(D4*0.05)</f>
        <v>190</v>
      </c>
      <c r="F4" s="13">
        <f t="shared" ref="F4:F7" si="2">E4-C4</f>
        <v>-30</v>
      </c>
      <c r="G4" s="13">
        <f>1/(1+0.12)^A4</f>
        <v>0.79719387755102034</v>
      </c>
      <c r="H4" s="13">
        <f t="shared" ref="H4:H7" si="3">F4*G4</f>
        <v>-23.91581632653061</v>
      </c>
      <c r="I4" s="13">
        <f t="shared" ref="I4:I7" si="4">D4*G4</f>
        <v>159.43877551020407</v>
      </c>
      <c r="J4" s="13">
        <f t="shared" ref="J4:J7" si="5">B3*G4</f>
        <v>398.59693877551018</v>
      </c>
      <c r="K4" s="13">
        <f>1/1.15^2</f>
        <v>0.7561436672967865</v>
      </c>
      <c r="L4" s="13">
        <f t="shared" ref="L4:L7" si="6">F4*K4</f>
        <v>-22.684310018903595</v>
      </c>
      <c r="M4" s="13">
        <f>1/1.2^2</f>
        <v>0.69444444444444442</v>
      </c>
      <c r="N4" s="14">
        <f t="shared" ref="N4:N7" si="7">F4*M4</f>
        <v>-20.833333333333332</v>
      </c>
      <c r="O4" s="17">
        <f t="shared" ref="O4:O7" si="8">1/1.25^A4</f>
        <v>0.64</v>
      </c>
      <c r="Q4" s="8">
        <f>1/1.25^2</f>
        <v>0.64</v>
      </c>
      <c r="R4" s="8">
        <f>F4*Q4</f>
        <v>-19.2</v>
      </c>
      <c r="S4" s="8">
        <f>1/1.3^2</f>
        <v>0.59171597633136086</v>
      </c>
      <c r="T4" s="8">
        <f>F4*S4</f>
        <v>-17.751479289940825</v>
      </c>
      <c r="U4" s="8">
        <f>1/1.35^2</f>
        <v>0.5486968449931412</v>
      </c>
      <c r="V4" s="8">
        <f>F4*U4</f>
        <v>-16.460905349794235</v>
      </c>
    </row>
    <row r="5" spans="1:22">
      <c r="A5" s="13">
        <v>3</v>
      </c>
      <c r="B5" s="13">
        <v>100</v>
      </c>
      <c r="C5" s="13">
        <f t="shared" si="0"/>
        <v>110</v>
      </c>
      <c r="D5" s="13">
        <v>300</v>
      </c>
      <c r="E5" s="13">
        <f t="shared" si="1"/>
        <v>285</v>
      </c>
      <c r="F5" s="13">
        <f t="shared" si="2"/>
        <v>175</v>
      </c>
      <c r="G5" s="13">
        <f t="shared" ref="G5:G7" si="9">1/(1+0.12)^A5</f>
        <v>0.71178024781341087</v>
      </c>
      <c r="H5" s="13">
        <f t="shared" si="3"/>
        <v>124.5615433673469</v>
      </c>
      <c r="I5" s="13">
        <f t="shared" si="4"/>
        <v>213.53407434402325</v>
      </c>
      <c r="J5" s="13">
        <f t="shared" si="5"/>
        <v>142.35604956268219</v>
      </c>
      <c r="K5" s="13">
        <f>1/1.15^3</f>
        <v>0.65751623243198831</v>
      </c>
      <c r="L5" s="13">
        <f t="shared" si="6"/>
        <v>115.06534067559795</v>
      </c>
      <c r="M5" s="13">
        <f>1/1.2^3</f>
        <v>0.57870370370370372</v>
      </c>
      <c r="N5" s="14">
        <f t="shared" si="7"/>
        <v>101.27314814814815</v>
      </c>
      <c r="O5" s="17">
        <f t="shared" si="8"/>
        <v>0.51200000000000001</v>
      </c>
      <c r="Q5" s="8">
        <f>1/1.25^3</f>
        <v>0.51200000000000001</v>
      </c>
      <c r="R5" s="8">
        <f>F5*Q5</f>
        <v>89.600000000000009</v>
      </c>
      <c r="S5" s="8">
        <f>1/1.3^3</f>
        <v>0.45516613563950831</v>
      </c>
      <c r="T5" s="8">
        <f>F5*S5</f>
        <v>79.654073736913958</v>
      </c>
      <c r="U5" s="8">
        <f>1/1.35^3</f>
        <v>0.40644210740232684</v>
      </c>
      <c r="V5" s="8">
        <f>F5*U5</f>
        <v>71.127368795407193</v>
      </c>
    </row>
    <row r="6" spans="1:22">
      <c r="A6" s="13">
        <v>4</v>
      </c>
      <c r="B6" s="13">
        <v>50</v>
      </c>
      <c r="C6" s="13">
        <f t="shared" si="0"/>
        <v>55</v>
      </c>
      <c r="D6" s="13">
        <v>400</v>
      </c>
      <c r="E6" s="13">
        <f t="shared" si="1"/>
        <v>380</v>
      </c>
      <c r="F6" s="13">
        <f t="shared" si="2"/>
        <v>325</v>
      </c>
      <c r="G6" s="13">
        <f t="shared" si="9"/>
        <v>0.63551807840483121</v>
      </c>
      <c r="H6" s="13">
        <f t="shared" si="3"/>
        <v>206.54337548157014</v>
      </c>
      <c r="I6" s="13">
        <f t="shared" si="4"/>
        <v>254.20723136193249</v>
      </c>
      <c r="J6" s="13">
        <f t="shared" si="5"/>
        <v>63.551807840483121</v>
      </c>
      <c r="K6" s="13">
        <f>1/1.15^4</f>
        <v>0.57175324559303342</v>
      </c>
      <c r="L6" s="13">
        <f t="shared" si="6"/>
        <v>185.81980481773587</v>
      </c>
      <c r="M6" s="13">
        <f>1/1.2^4</f>
        <v>0.48225308641975312</v>
      </c>
      <c r="N6" s="14">
        <f t="shared" si="7"/>
        <v>156.73225308641977</v>
      </c>
      <c r="O6" s="17">
        <f t="shared" si="8"/>
        <v>0.40960000000000002</v>
      </c>
      <c r="Q6" s="8">
        <f>1/1.25^4</f>
        <v>0.40960000000000002</v>
      </c>
      <c r="R6" s="8">
        <f>F6*Q6</f>
        <v>133.12</v>
      </c>
      <c r="S6" s="8">
        <f>1/1.3^4</f>
        <v>0.35012779664577565</v>
      </c>
      <c r="T6" s="8">
        <f>F6*S6</f>
        <v>113.79153390987709</v>
      </c>
      <c r="U6" s="8">
        <f>1/1.35^4</f>
        <v>0.30106822770542724</v>
      </c>
      <c r="V6" s="8">
        <f>F6*U6</f>
        <v>97.847174004263849</v>
      </c>
    </row>
    <row r="7" spans="1:22">
      <c r="A7" s="13">
        <v>5</v>
      </c>
      <c r="B7" s="13">
        <v>50</v>
      </c>
      <c r="C7" s="13">
        <f t="shared" si="0"/>
        <v>55</v>
      </c>
      <c r="D7" s="13">
        <v>400</v>
      </c>
      <c r="E7" s="13">
        <f t="shared" si="1"/>
        <v>380</v>
      </c>
      <c r="F7" s="13">
        <f t="shared" si="2"/>
        <v>325</v>
      </c>
      <c r="G7" s="13">
        <f t="shared" si="9"/>
        <v>0.56742685571859919</v>
      </c>
      <c r="H7" s="13">
        <f t="shared" si="3"/>
        <v>184.41372810854475</v>
      </c>
      <c r="I7" s="13">
        <f t="shared" si="4"/>
        <v>226.97074228743966</v>
      </c>
      <c r="J7" s="13">
        <f t="shared" si="5"/>
        <v>28.371342785929958</v>
      </c>
      <c r="K7" s="13">
        <f>1/1.15^5</f>
        <v>0.49717673529828987</v>
      </c>
      <c r="L7" s="13">
        <f t="shared" si="6"/>
        <v>161.58243897194421</v>
      </c>
      <c r="M7" s="13">
        <f>1/1.2^5</f>
        <v>0.4018775720164609</v>
      </c>
      <c r="N7" s="14">
        <f t="shared" si="7"/>
        <v>130.61021090534979</v>
      </c>
      <c r="O7" s="17">
        <f t="shared" si="8"/>
        <v>0.32768000000000003</v>
      </c>
      <c r="Q7" s="8">
        <f>1/1.25^5</f>
        <v>0.32768000000000003</v>
      </c>
      <c r="R7" s="8">
        <f>F7*Q7</f>
        <v>106.49600000000001</v>
      </c>
      <c r="S7" s="8">
        <f>1/1.3^5</f>
        <v>0.26932907434290432</v>
      </c>
      <c r="T7" s="8">
        <f>F7*S7</f>
        <v>87.531949161443904</v>
      </c>
      <c r="U7" s="8">
        <f>1/1.35^5</f>
        <v>0.22301350200402015</v>
      </c>
      <c r="V7" s="8">
        <f>F7*U7</f>
        <v>72.479388151306551</v>
      </c>
    </row>
    <row r="8" spans="1:22">
      <c r="B8" s="1" t="s">
        <v>6</v>
      </c>
      <c r="C8" s="1"/>
      <c r="D8" s="1"/>
      <c r="E8" s="1"/>
      <c r="F8" s="1"/>
      <c r="G8" s="1"/>
      <c r="H8" s="1">
        <f>SUM(H3:H7)</f>
        <v>85.352830630931265</v>
      </c>
      <c r="I8" s="16">
        <f>SUM(I3:I7)</f>
        <v>943.43653778931366</v>
      </c>
      <c r="J8" s="16">
        <f>SUM(J3:J7)</f>
        <v>634.66185325031972</v>
      </c>
      <c r="L8" s="1">
        <f>SUM(L3:L7)</f>
        <v>44.131100533330937</v>
      </c>
      <c r="N8" s="9">
        <f>SUM(N3:N7)</f>
        <v>-11.384387860082285</v>
      </c>
      <c r="O8" s="1"/>
      <c r="P8" s="1"/>
      <c r="R8" s="9">
        <f>SUM(R3:R7)</f>
        <v>-53.983999999999952</v>
      </c>
      <c r="T8" s="9">
        <f>SUM(T3:T7)</f>
        <v>-86.77392248170581</v>
      </c>
      <c r="V8" s="9">
        <f>SUM(V3:V7)</f>
        <v>-112.04401143585369</v>
      </c>
    </row>
    <row r="10" spans="1:22">
      <c r="B10" s="1" t="s">
        <v>9</v>
      </c>
      <c r="C10" s="1"/>
      <c r="H10" t="s">
        <v>29</v>
      </c>
      <c r="I10" s="1">
        <f>I8/J8</f>
        <v>1.4865184238782487</v>
      </c>
      <c r="T10" s="8" t="s">
        <v>32</v>
      </c>
      <c r="U10" s="8">
        <f>30 +(T8/(T8-V8))*(35-30)</f>
        <v>12.830704981063676</v>
      </c>
    </row>
    <row r="11" spans="1:22">
      <c r="H11" t="s">
        <v>44</v>
      </c>
      <c r="I11">
        <f>SUM(H5:H7)</f>
        <v>515.51864695746178</v>
      </c>
    </row>
    <row r="12" spans="1:22">
      <c r="B12" s="1" t="s">
        <v>10</v>
      </c>
      <c r="C12" s="1"/>
      <c r="D12" t="s">
        <v>11</v>
      </c>
      <c r="G12">
        <f>SUM(H4:H7)</f>
        <v>491.60283063093118</v>
      </c>
      <c r="H12" t="s">
        <v>45</v>
      </c>
      <c r="I12" s="1">
        <f>H3</f>
        <v>-406.24999999999994</v>
      </c>
    </row>
    <row r="13" spans="1:22">
      <c r="G13">
        <f>H3</f>
        <v>-406.24999999999994</v>
      </c>
      <c r="H13" t="s">
        <v>10</v>
      </c>
      <c r="I13">
        <f>I11/-I12</f>
        <v>1.2689689771260599</v>
      </c>
    </row>
    <row r="15" spans="1:22">
      <c r="B15" t="s">
        <v>21</v>
      </c>
      <c r="F15" s="15">
        <f>30+(T8/(T8-V8))*(35-30)</f>
        <v>12.830704981063676</v>
      </c>
    </row>
    <row r="16" spans="1:22" ht="15.75" thickBot="1">
      <c r="B16" t="s">
        <v>43</v>
      </c>
      <c r="F16">
        <f>H8/5</f>
        <v>17.070566126186254</v>
      </c>
      <c r="G16">
        <f>B3</f>
        <v>500</v>
      </c>
    </row>
    <row r="17" spans="6:23" ht="45.75" thickBot="1">
      <c r="F17">
        <f>G16/F16</f>
        <v>29.290182663186538</v>
      </c>
      <c r="J17" s="3" t="s">
        <v>22</v>
      </c>
      <c r="K17" s="4" t="s">
        <v>23</v>
      </c>
      <c r="L17" s="4" t="s">
        <v>24</v>
      </c>
      <c r="M17" s="7" t="s">
        <v>3</v>
      </c>
      <c r="N17" s="10" t="s">
        <v>12</v>
      </c>
      <c r="O17" s="7" t="s">
        <v>7</v>
      </c>
      <c r="P17" s="7" t="s">
        <v>8</v>
      </c>
      <c r="Q17" s="10" t="s">
        <v>25</v>
      </c>
      <c r="R17" s="10" t="s">
        <v>14</v>
      </c>
      <c r="S17" s="8" t="s">
        <v>33</v>
      </c>
      <c r="T17" s="10" t="s">
        <v>26</v>
      </c>
      <c r="V17" s="10" t="s">
        <v>27</v>
      </c>
    </row>
    <row r="18" spans="6:23" ht="15.75" thickBot="1">
      <c r="F18">
        <f>5000/10</f>
        <v>500</v>
      </c>
      <c r="J18" s="5">
        <v>1</v>
      </c>
      <c r="K18" s="6">
        <v>400</v>
      </c>
      <c r="L18" s="6">
        <v>75</v>
      </c>
      <c r="M18">
        <f>L18-K18</f>
        <v>-325</v>
      </c>
      <c r="N18" s="8">
        <f>1/(1.15)^1</f>
        <v>0.86956521739130443</v>
      </c>
      <c r="O18" s="8">
        <f>L18*N18</f>
        <v>65.217391304347828</v>
      </c>
      <c r="P18" s="8">
        <f>K18*N18</f>
        <v>347.82608695652175</v>
      </c>
      <c r="Q18" s="8">
        <f>M18*N18</f>
        <v>-282.60869565217394</v>
      </c>
      <c r="R18" s="8">
        <f>1/(1.2)^1</f>
        <v>0.83333333333333337</v>
      </c>
      <c r="S18" s="8">
        <f>M18*R18</f>
        <v>-270.83333333333337</v>
      </c>
      <c r="T18" s="8">
        <f>1/(1.25^1)</f>
        <v>0.8</v>
      </c>
      <c r="U18" s="8">
        <f>M18*T18</f>
        <v>-260</v>
      </c>
      <c r="V18" s="8">
        <f>1/(1.3^1)</f>
        <v>0.76923076923076916</v>
      </c>
      <c r="W18" s="8">
        <f>M18*V18</f>
        <v>-249.99999999999997</v>
      </c>
    </row>
    <row r="19" spans="6:23" ht="15.75" thickBot="1">
      <c r="F19">
        <f>500000</f>
        <v>500000</v>
      </c>
      <c r="J19" s="5">
        <v>2</v>
      </c>
      <c r="K19" s="6">
        <v>150</v>
      </c>
      <c r="L19" s="6">
        <v>150</v>
      </c>
      <c r="M19">
        <f t="shared" ref="M19:M22" si="10">L19-K19</f>
        <v>0</v>
      </c>
      <c r="N19" s="8">
        <f>1/(1.15)^2</f>
        <v>0.7561436672967865</v>
      </c>
      <c r="O19" s="8">
        <f t="shared" ref="O19:O22" si="11">L19*N19</f>
        <v>113.42155009451798</v>
      </c>
      <c r="P19" s="8">
        <f t="shared" ref="P19:P22" si="12">K19*N19</f>
        <v>113.42155009451798</v>
      </c>
      <c r="Q19" s="8">
        <f>M19*N19</f>
        <v>0</v>
      </c>
      <c r="R19" s="8">
        <f>1/(1.2)^2</f>
        <v>0.69444444444444442</v>
      </c>
      <c r="S19" s="8">
        <f>M19*R19</f>
        <v>0</v>
      </c>
      <c r="T19" s="8">
        <f>1/(1.25^2)</f>
        <v>0.64</v>
      </c>
      <c r="U19" s="8">
        <f>M19*T19</f>
        <v>0</v>
      </c>
      <c r="V19" s="8">
        <f>1/(1.3^2)</f>
        <v>0.59171597633136086</v>
      </c>
      <c r="W19" s="8">
        <f>M19*V19</f>
        <v>0</v>
      </c>
    </row>
    <row r="20" spans="6:23" ht="15.75" thickBot="1">
      <c r="F20" s="2">
        <f>F18*F19</f>
        <v>250000000</v>
      </c>
      <c r="J20" s="5">
        <v>3</v>
      </c>
      <c r="K20" s="6">
        <v>75</v>
      </c>
      <c r="L20" s="6">
        <v>250</v>
      </c>
      <c r="M20">
        <f t="shared" si="10"/>
        <v>175</v>
      </c>
      <c r="N20" s="8">
        <f>1/(1.15)^3</f>
        <v>0.65751623243198831</v>
      </c>
      <c r="O20" s="8">
        <f t="shared" si="11"/>
        <v>164.37905810799708</v>
      </c>
      <c r="P20" s="8">
        <f t="shared" si="12"/>
        <v>49.313717432399123</v>
      </c>
      <c r="Q20" s="8">
        <f>M20*N20</f>
        <v>115.06534067559795</v>
      </c>
      <c r="R20" s="8">
        <f>1/(1.2)^3</f>
        <v>0.57870370370370372</v>
      </c>
      <c r="S20" s="8">
        <f>M20*R20</f>
        <v>101.27314814814815</v>
      </c>
      <c r="T20" s="8">
        <f>1/(1.25^3)</f>
        <v>0.51200000000000001</v>
      </c>
      <c r="U20" s="8">
        <f>M20*T20</f>
        <v>89.600000000000009</v>
      </c>
      <c r="V20" s="8">
        <f>1/(1.3^3)</f>
        <v>0.45516613563950831</v>
      </c>
      <c r="W20" s="8">
        <f>M20*V20</f>
        <v>79.654073736913958</v>
      </c>
    </row>
    <row r="21" spans="6:23" ht="15.75" thickBot="1">
      <c r="J21" s="5">
        <v>4</v>
      </c>
      <c r="K21" s="6">
        <v>50</v>
      </c>
      <c r="L21" s="6">
        <v>300</v>
      </c>
      <c r="M21">
        <f t="shared" si="10"/>
        <v>250</v>
      </c>
      <c r="N21" s="8">
        <f>1/(1.15)^4</f>
        <v>0.57175324559303342</v>
      </c>
      <c r="O21" s="8">
        <f t="shared" si="11"/>
        <v>171.52597367791003</v>
      </c>
      <c r="P21" s="8">
        <f t="shared" si="12"/>
        <v>28.587662279651671</v>
      </c>
      <c r="Q21" s="8">
        <f>M21*N21</f>
        <v>142.93831139825835</v>
      </c>
      <c r="R21" s="8">
        <f>1/(1.2)^4</f>
        <v>0.48225308641975312</v>
      </c>
      <c r="S21" s="8">
        <f>M21*R21</f>
        <v>120.56327160493828</v>
      </c>
      <c r="T21" s="8">
        <f>1/(1.25^4)</f>
        <v>0.40960000000000002</v>
      </c>
      <c r="U21" s="8">
        <f>M21*T21</f>
        <v>102.4</v>
      </c>
      <c r="V21" s="8">
        <f>1/(1.3^4)</f>
        <v>0.35012779664577565</v>
      </c>
      <c r="W21" s="8">
        <f>M21*V21</f>
        <v>87.531949161443919</v>
      </c>
    </row>
    <row r="22" spans="6:23" ht="15.75" thickBot="1">
      <c r="J22" s="5">
        <v>5</v>
      </c>
      <c r="K22" s="6">
        <v>50</v>
      </c>
      <c r="L22" s="6">
        <v>300</v>
      </c>
      <c r="M22">
        <f t="shared" si="10"/>
        <v>250</v>
      </c>
      <c r="N22" s="8">
        <f>1/(1.15)^5</f>
        <v>0.49717673529828987</v>
      </c>
      <c r="O22" s="8">
        <f t="shared" si="11"/>
        <v>149.15302058948697</v>
      </c>
      <c r="P22" s="8">
        <f t="shared" si="12"/>
        <v>24.858836764914493</v>
      </c>
      <c r="Q22" s="8">
        <f>M22*N22</f>
        <v>124.29418382457247</v>
      </c>
      <c r="R22" s="8">
        <f>1/(1.2)^5</f>
        <v>0.4018775720164609</v>
      </c>
      <c r="S22" s="8">
        <f>M22*R22</f>
        <v>100.46939300411523</v>
      </c>
      <c r="T22" s="8">
        <f>1/(1.25^5)</f>
        <v>0.32768000000000003</v>
      </c>
      <c r="U22" s="8">
        <f>M22*T22</f>
        <v>81.92</v>
      </c>
      <c r="V22" s="8">
        <f>1/(1.3^5)</f>
        <v>0.26932907434290432</v>
      </c>
      <c r="W22" s="8">
        <f>M22*V22</f>
        <v>67.332268585726084</v>
      </c>
    </row>
    <row r="23" spans="6:23">
      <c r="O23" s="9">
        <f>SUM(O18:O22)</f>
        <v>663.69699377425991</v>
      </c>
      <c r="P23" s="9">
        <f>SUM(P18:P22)</f>
        <v>564.00785352800506</v>
      </c>
      <c r="Q23" s="9">
        <f>SUM(Q18:Q22)</f>
        <v>99.689140246254837</v>
      </c>
      <c r="S23" s="9">
        <f>SUM(S18:S22)</f>
        <v>51.472479423868293</v>
      </c>
      <c r="U23" s="9">
        <f>SUM(U18:U22)</f>
        <v>13.92000000000003</v>
      </c>
      <c r="W23" s="9">
        <f>SUM(W18:W22)</f>
        <v>-15.481708515916026</v>
      </c>
    </row>
    <row r="25" spans="6:23">
      <c r="P25" t="s">
        <v>28</v>
      </c>
      <c r="Q25" s="8">
        <f>Q23</f>
        <v>99.689140246254837</v>
      </c>
    </row>
    <row r="26" spans="6:23">
      <c r="P26" t="s">
        <v>29</v>
      </c>
      <c r="Q26" s="8">
        <f>O23/P23</f>
        <v>1.1767513335544448</v>
      </c>
    </row>
    <row r="28" spans="6:23">
      <c r="P28" t="s">
        <v>30</v>
      </c>
      <c r="Q28" s="8">
        <f>SUM(Q19:Q22)</f>
        <v>382.29783589842879</v>
      </c>
    </row>
    <row r="29" spans="6:23">
      <c r="P29" t="s">
        <v>31</v>
      </c>
      <c r="Q29" s="8">
        <f>-Q18</f>
        <v>282.60869565217394</v>
      </c>
    </row>
    <row r="30" spans="6:23">
      <c r="P30" t="s">
        <v>10</v>
      </c>
      <c r="Q30" s="8">
        <f>Q28/Q29</f>
        <v>1.3527461885636709</v>
      </c>
    </row>
    <row r="31" spans="6:23">
      <c r="P31" t="s">
        <v>34</v>
      </c>
    </row>
    <row r="32" spans="6:23">
      <c r="P32" t="s">
        <v>35</v>
      </c>
      <c r="Q32" s="12">
        <v>25</v>
      </c>
    </row>
    <row r="33" spans="16:18">
      <c r="P33" t="s">
        <v>36</v>
      </c>
      <c r="Q33" s="12">
        <v>30</v>
      </c>
    </row>
    <row r="34" spans="16:18">
      <c r="P34" t="s">
        <v>37</v>
      </c>
      <c r="Q34" s="8">
        <f>U23</f>
        <v>13.92000000000003</v>
      </c>
    </row>
    <row r="35" spans="16:18">
      <c r="P35" t="s">
        <v>38</v>
      </c>
      <c r="Q35" s="8">
        <f>W23</f>
        <v>-15.481708515916026</v>
      </c>
    </row>
    <row r="37" spans="16:18">
      <c r="P37" t="s">
        <v>32</v>
      </c>
      <c r="Q37" s="11">
        <f>(25+(Q34/(Q34-Q35)*(30-25)))</f>
        <v>27.367209373643153</v>
      </c>
    </row>
    <row r="38" spans="16:18">
      <c r="P38" t="s">
        <v>39</v>
      </c>
      <c r="Q38" s="8">
        <f>R40/R39</f>
        <v>20.062365820986571</v>
      </c>
    </row>
    <row r="39" spans="16:18">
      <c r="P39" t="s">
        <v>40</v>
      </c>
      <c r="R39" s="8">
        <f>Q23/5</f>
        <v>19.937828049250967</v>
      </c>
    </row>
    <row r="40" spans="16:18">
      <c r="P40" t="s">
        <v>41</v>
      </c>
      <c r="R40" s="8">
        <f>K18</f>
        <v>400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ujang</dc:creator>
  <cp:lastModifiedBy>Ujang</cp:lastModifiedBy>
  <dcterms:created xsi:type="dcterms:W3CDTF">2009-02-14T10:32:20Z</dcterms:created>
  <dcterms:modified xsi:type="dcterms:W3CDTF">2013-10-08T04:28:03Z</dcterms:modified>
</cp:coreProperties>
</file>